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dora\Desktop\2018\"/>
    </mc:Choice>
  </mc:AlternateContent>
  <bookViews>
    <workbookView xWindow="0" yWindow="0" windowWidth="28800" windowHeight="12210"/>
  </bookViews>
  <sheets>
    <sheet name="ER COMPARATIVO" sheetId="1" r:id="rId1"/>
    <sheet name="BG COMPARATIVO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F38" i="2"/>
  <c r="F37" i="2"/>
  <c r="F40" i="2" s="1"/>
  <c r="D37" i="2"/>
  <c r="D40" i="2" s="1"/>
  <c r="D33" i="2"/>
  <c r="F31" i="2"/>
  <c r="E30" i="2"/>
  <c r="F30" i="2" s="1"/>
  <c r="F33" i="2" s="1"/>
  <c r="F42" i="2" s="1"/>
  <c r="E23" i="2"/>
  <c r="D23" i="2"/>
  <c r="D21" i="2"/>
  <c r="F21" i="2" s="1"/>
  <c r="F20" i="2"/>
  <c r="F23" i="2" s="1"/>
  <c r="E20" i="2"/>
  <c r="D20" i="2"/>
  <c r="F14" i="2"/>
  <c r="E14" i="2"/>
  <c r="F13" i="2"/>
  <c r="E13" i="2"/>
  <c r="D13" i="2"/>
  <c r="E12" i="2"/>
  <c r="E16" i="2" s="1"/>
  <c r="E25" i="2" s="1"/>
  <c r="D12" i="2"/>
  <c r="D16" i="2" s="1"/>
  <c r="D25" i="2" s="1"/>
  <c r="D86" i="1"/>
  <c r="C86" i="1"/>
  <c r="E86" i="1" s="1"/>
  <c r="D84" i="1"/>
  <c r="E84" i="1" s="1"/>
  <c r="E83" i="1"/>
  <c r="D83" i="1"/>
  <c r="E82" i="1"/>
  <c r="E78" i="1"/>
  <c r="D78" i="1"/>
  <c r="E76" i="1"/>
  <c r="D76" i="1"/>
  <c r="C74" i="1"/>
  <c r="E73" i="1"/>
  <c r="E72" i="1"/>
  <c r="D71" i="1"/>
  <c r="D74" i="1" s="1"/>
  <c r="E70" i="1"/>
  <c r="E69" i="1"/>
  <c r="E68" i="1"/>
  <c r="E67" i="1"/>
  <c r="E66" i="1"/>
  <c r="C64" i="1"/>
  <c r="E63" i="1"/>
  <c r="E61" i="1"/>
  <c r="D60" i="1"/>
  <c r="D64" i="1" s="1"/>
  <c r="C58" i="1"/>
  <c r="E57" i="1"/>
  <c r="E56" i="1"/>
  <c r="E55" i="1"/>
  <c r="D54" i="1"/>
  <c r="E54" i="1" s="1"/>
  <c r="E53" i="1"/>
  <c r="E52" i="1"/>
  <c r="D51" i="1"/>
  <c r="E51" i="1" s="1"/>
  <c r="E50" i="1"/>
  <c r="E49" i="1"/>
  <c r="E48" i="1"/>
  <c r="E47" i="1"/>
  <c r="E46" i="1"/>
  <c r="D45" i="1"/>
  <c r="E45" i="1" s="1"/>
  <c r="E44" i="1"/>
  <c r="D44" i="1"/>
  <c r="D43" i="1"/>
  <c r="E43" i="1" s="1"/>
  <c r="E42" i="1"/>
  <c r="D42" i="1"/>
  <c r="E41" i="1"/>
  <c r="D40" i="1"/>
  <c r="D58" i="1" s="1"/>
  <c r="E39" i="1"/>
  <c r="E36" i="1"/>
  <c r="E34" i="1"/>
  <c r="E33" i="1"/>
  <c r="E32" i="1"/>
  <c r="E31" i="1"/>
  <c r="D31" i="1"/>
  <c r="E30" i="1"/>
  <c r="E29" i="1"/>
  <c r="E28" i="1"/>
  <c r="D28" i="1"/>
  <c r="D27" i="1"/>
  <c r="D37" i="1" s="1"/>
  <c r="D80" i="1" s="1"/>
  <c r="E26" i="1"/>
  <c r="C26" i="1"/>
  <c r="C37" i="1" s="1"/>
  <c r="C80" i="1" s="1"/>
  <c r="C23" i="1"/>
  <c r="C88" i="1" s="1"/>
  <c r="E22" i="1"/>
  <c r="D21" i="1"/>
  <c r="E21" i="1" s="1"/>
  <c r="E20" i="1"/>
  <c r="E19" i="1"/>
  <c r="E18" i="1"/>
  <c r="E17" i="1"/>
  <c r="E16" i="1"/>
  <c r="E15" i="1"/>
  <c r="D14" i="1"/>
  <c r="D23" i="1" s="1"/>
  <c r="D88" i="1" s="1"/>
  <c r="E13" i="1"/>
  <c r="E12" i="1"/>
  <c r="E11" i="1"/>
  <c r="D42" i="2" l="1"/>
  <c r="F12" i="2"/>
  <c r="F16" i="2" s="1"/>
  <c r="F25" i="2" s="1"/>
  <c r="E33" i="2"/>
  <c r="E42" i="2" s="1"/>
  <c r="E37" i="1"/>
  <c r="E58" i="1"/>
  <c r="E14" i="1"/>
  <c r="E23" i="1" s="1"/>
  <c r="E27" i="1"/>
  <c r="E40" i="1"/>
  <c r="E60" i="1"/>
  <c r="E64" i="1" s="1"/>
  <c r="E71" i="1"/>
  <c r="E74" i="1" s="1"/>
  <c r="E88" i="1" l="1"/>
  <c r="E80" i="1"/>
</calcChain>
</file>

<file path=xl/sharedStrings.xml><?xml version="1.0" encoding="utf-8"?>
<sst xmlns="http://schemas.openxmlformats.org/spreadsheetml/2006/main" count="103" uniqueCount="101">
  <si>
    <t>ASOCIACIÓN DOMINICANA DE CONSTRUCTORES</t>
  </si>
  <si>
    <t>Y PROMOTORES DE  VIVIENDAS (ACOPROVI)</t>
  </si>
  <si>
    <t xml:space="preserve">Estado de Ingresos y Gastos Comparativos </t>
  </si>
  <si>
    <t>Enero- 2018</t>
  </si>
  <si>
    <t>Enero- 2017</t>
  </si>
  <si>
    <t xml:space="preserve">Variación </t>
  </si>
  <si>
    <t>Ingresos</t>
  </si>
  <si>
    <t>Afiliación</t>
  </si>
  <si>
    <t>Cuota Membresía</t>
  </si>
  <si>
    <t>Publicidad Revista</t>
  </si>
  <si>
    <t>Aporte Fiesta Navidad</t>
  </si>
  <si>
    <t>Mesa Nacional de la Vivienda</t>
  </si>
  <si>
    <t>Caso FOPETCONS</t>
  </si>
  <si>
    <t>Patrocinio</t>
  </si>
  <si>
    <t>Ingreso por Capacitacion</t>
  </si>
  <si>
    <t>Presentacion de Estudio</t>
  </si>
  <si>
    <t>Indicadores Oferta de la Vivienda</t>
  </si>
  <si>
    <t>Intereses Cert. Financ.</t>
  </si>
  <si>
    <t>Ingresos por Actividades</t>
  </si>
  <si>
    <t>Total de Ingresos</t>
  </si>
  <si>
    <t>Gastos</t>
  </si>
  <si>
    <t>Sueldo</t>
  </si>
  <si>
    <t>Atenciones al Personal</t>
  </si>
  <si>
    <t>Atencion Cliente</t>
  </si>
  <si>
    <t>Gastos Legales</t>
  </si>
  <si>
    <t>Acesoria Relaciones Publica</t>
  </si>
  <si>
    <t>Aporte AFP</t>
  </si>
  <si>
    <t>Bonificacion</t>
  </si>
  <si>
    <t>Regalia Pascual</t>
  </si>
  <si>
    <t>Prestaciones Laboral</t>
  </si>
  <si>
    <t>Vacaciones</t>
  </si>
  <si>
    <t xml:space="preserve">Incentivos </t>
  </si>
  <si>
    <t>Prestaciones al Personal</t>
  </si>
  <si>
    <t>Servicios de Presupuesto</t>
  </si>
  <si>
    <t>Gasto Arquiler</t>
  </si>
  <si>
    <t>Mantenimiento Computador</t>
  </si>
  <si>
    <t>Mantenimiento Local</t>
  </si>
  <si>
    <t>Depreciacion cat I Y II</t>
  </si>
  <si>
    <t>Mantenimiento de Equipo</t>
  </si>
  <si>
    <t>Material Gastable</t>
  </si>
  <si>
    <t>Manterial  de limpieza</t>
  </si>
  <si>
    <t>Combustible</t>
  </si>
  <si>
    <t>Electricidad</t>
  </si>
  <si>
    <t>Viaje y Viatico</t>
  </si>
  <si>
    <t xml:space="preserve">Cuotas y Constribuciones </t>
  </si>
  <si>
    <t>Membresias</t>
  </si>
  <si>
    <t>Honorarios Profesionales</t>
  </si>
  <si>
    <t>Gasto Fiesta Navidena</t>
  </si>
  <si>
    <t>Gasto de Viaje</t>
  </si>
  <si>
    <t>Gasto de Estadia</t>
  </si>
  <si>
    <t>Servicio de Mensajeria</t>
  </si>
  <si>
    <t>Servicios de Contabilidad</t>
  </si>
  <si>
    <t>Gastos, Local, Oficina y Equipos</t>
  </si>
  <si>
    <t>Actividades</t>
  </si>
  <si>
    <t>Reuniones</t>
  </si>
  <si>
    <t>Curso Taller</t>
  </si>
  <si>
    <t>Mesa Vivienda</t>
  </si>
  <si>
    <t>Actividades y Reuniones</t>
  </si>
  <si>
    <t>Logitica y juramentacion Directiva</t>
  </si>
  <si>
    <t>Publicidad</t>
  </si>
  <si>
    <t>pagina web</t>
  </si>
  <si>
    <t>Donaciones</t>
  </si>
  <si>
    <t>Periodico</t>
  </si>
  <si>
    <t xml:space="preserve">Instalaciones de Redes </t>
  </si>
  <si>
    <t>Manejo de Redes Sociales</t>
  </si>
  <si>
    <t>Teléfono E Internet</t>
  </si>
  <si>
    <t>Publicaciones y Comunicaciones</t>
  </si>
  <si>
    <t>Otros Gastos</t>
  </si>
  <si>
    <t>Total de Gastos Grales y Administrativos</t>
  </si>
  <si>
    <t>Gastos Financieros</t>
  </si>
  <si>
    <t>Recargo e Intereses</t>
  </si>
  <si>
    <t>Cargos Bancarios</t>
  </si>
  <si>
    <t>Total Gastos Financieros</t>
  </si>
  <si>
    <t>Superávit (Déficit)</t>
  </si>
  <si>
    <t>ASOCIACION DOMINICANA DE CONSTRUCTORES</t>
  </si>
  <si>
    <t>Estados de Situación  Comparativos  Enero- 2017 - Enero 2018</t>
  </si>
  <si>
    <t>Enero -2018</t>
  </si>
  <si>
    <t>Enero-2017</t>
  </si>
  <si>
    <t>Variación</t>
  </si>
  <si>
    <t>ACTIVOS</t>
  </si>
  <si>
    <t>Activos Corrientes</t>
  </si>
  <si>
    <t xml:space="preserve">Efectivo en Caja y Banco  </t>
  </si>
  <si>
    <t>Deposito a Plazo en Banco</t>
  </si>
  <si>
    <t>Cuentas por Cobrar</t>
  </si>
  <si>
    <t>Total Activos Corrientes</t>
  </si>
  <si>
    <t>Activos Fijos</t>
  </si>
  <si>
    <t>Local Oficina</t>
  </si>
  <si>
    <t xml:space="preserve">Muebles y Equipos de Oficina </t>
  </si>
  <si>
    <t>Total  Activos Fijos</t>
  </si>
  <si>
    <t>Total Activos</t>
  </si>
  <si>
    <t>PASIVOS Y SUPERAVIT</t>
  </si>
  <si>
    <t>PASIVOS</t>
  </si>
  <si>
    <t>Cuentas por Pagar</t>
  </si>
  <si>
    <t>Acumulaciones y Retenciones por Pagar</t>
  </si>
  <si>
    <t>Total Pasivos</t>
  </si>
  <si>
    <t>SUPERAVIT</t>
  </si>
  <si>
    <t>Superavit  de Periodos Anteriores</t>
  </si>
  <si>
    <t>Superavit del Periodo</t>
  </si>
  <si>
    <t>Total Superavit</t>
  </si>
  <si>
    <t>Total Pasivos y Superavit</t>
  </si>
  <si>
    <t>Enero 2017  -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</si>
</sst>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(#,##0.00\)"/>
    <numFmt numFmtId="166" formatCode="#,##0.00;\&lt;#,##0.00\&g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Book Antiqua"/>
      <family val="1"/>
    </font>
    <font>
      <sz val="12"/>
      <name val="Book Antiqua"/>
      <family val="1"/>
    </font>
    <font>
      <b/>
      <sz val="14"/>
      <color indexed="8"/>
      <name val="Book Antiqua"/>
      <family val="1"/>
    </font>
    <font>
      <b/>
      <sz val="12"/>
      <name val="Book Antiqua"/>
      <family val="1"/>
    </font>
    <font>
      <b/>
      <sz val="13"/>
      <color indexed="8"/>
      <name val="Book Antiqua"/>
      <family val="1"/>
    </font>
    <font>
      <sz val="12"/>
      <color indexed="8"/>
      <name val="Book Antiqua"/>
      <family val="1"/>
    </font>
    <font>
      <b/>
      <sz val="14"/>
      <name val="Book Antiqua"/>
      <family val="1"/>
    </font>
    <font>
      <sz val="12"/>
      <color indexed="60"/>
      <name val="Book Antiqua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/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3" fillId="0" borderId="0" xfId="0" applyFont="1" applyBorder="1"/>
    <xf numFmtId="49" fontId="7" fillId="0" borderId="0" xfId="0" applyNumberFormat="1" applyFont="1" applyAlignment="1">
      <alignment horizontal="left"/>
    </xf>
    <xf numFmtId="4" fontId="3" fillId="0" borderId="0" xfId="0" applyNumberFormat="1" applyFont="1"/>
    <xf numFmtId="4" fontId="7" fillId="0" borderId="0" xfId="0" applyNumberFormat="1" applyFont="1" applyAlignment="1">
      <alignment horizontal="right"/>
    </xf>
    <xf numFmtId="39" fontId="3" fillId="0" borderId="0" xfId="0" applyNumberFormat="1" applyFont="1"/>
    <xf numFmtId="43" fontId="7" fillId="0" borderId="0" xfId="1" applyFont="1" applyFill="1" applyBorder="1" applyAlignment="1" applyProtection="1">
      <alignment horizontal="right"/>
    </xf>
    <xf numFmtId="4" fontId="7" fillId="0" borderId="0" xfId="1" applyNumberFormat="1" applyFont="1" applyFill="1" applyBorder="1" applyAlignment="1" applyProtection="1">
      <alignment horizontal="right"/>
    </xf>
    <xf numFmtId="49" fontId="2" fillId="0" borderId="0" xfId="0" applyNumberFormat="1" applyFont="1" applyAlignment="1">
      <alignment horizontal="left"/>
    </xf>
    <xf numFmtId="43" fontId="2" fillId="0" borderId="2" xfId="1" applyFont="1" applyFill="1" applyBorder="1" applyAlignment="1" applyProtection="1">
      <alignment horizontal="right"/>
    </xf>
    <xf numFmtId="49" fontId="3" fillId="0" borderId="0" xfId="0" applyNumberFormat="1" applyFont="1" applyAlignment="1">
      <alignment horizontal="left"/>
    </xf>
    <xf numFmtId="39" fontId="7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4" fontId="7" fillId="0" borderId="0" xfId="0" applyNumberFormat="1" applyFont="1" applyFill="1"/>
    <xf numFmtId="43" fontId="7" fillId="0" borderId="0" xfId="1" applyFont="1" applyFill="1" applyBorder="1" applyAlignment="1" applyProtection="1"/>
    <xf numFmtId="4" fontId="7" fillId="0" borderId="0" xfId="0" applyNumberFormat="1" applyFont="1" applyBorder="1"/>
    <xf numFmtId="39" fontId="3" fillId="0" borderId="0" xfId="0" applyNumberFormat="1" applyFont="1" applyBorder="1"/>
    <xf numFmtId="166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43" fontId="3" fillId="0" borderId="0" xfId="1" applyFont="1" applyFill="1" applyBorder="1" applyAlignment="1" applyProtection="1"/>
    <xf numFmtId="43" fontId="2" fillId="0" borderId="2" xfId="1" applyFont="1" applyFill="1" applyBorder="1" applyAlignment="1" applyProtection="1"/>
    <xf numFmtId="4" fontId="3" fillId="0" borderId="0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7" fillId="0" borderId="0" xfId="0" applyNumberFormat="1" applyFont="1"/>
    <xf numFmtId="4" fontId="5" fillId="0" borderId="0" xfId="0" applyNumberFormat="1" applyFont="1" applyBorder="1"/>
    <xf numFmtId="4" fontId="2" fillId="0" borderId="1" xfId="0" applyNumberFormat="1" applyFont="1" applyFill="1" applyBorder="1"/>
    <xf numFmtId="43" fontId="2" fillId="0" borderId="3" xfId="1" applyFont="1" applyFill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4" fontId="3" fillId="0" borderId="1" xfId="0" applyNumberFormat="1" applyFont="1" applyBorder="1"/>
    <xf numFmtId="39" fontId="5" fillId="0" borderId="1" xfId="0" applyNumberFormat="1" applyFont="1" applyBorder="1"/>
    <xf numFmtId="39" fontId="3" fillId="0" borderId="1" xfId="0" applyNumberFormat="1" applyFont="1" applyBorder="1"/>
    <xf numFmtId="4" fontId="5" fillId="0" borderId="3" xfId="0" applyNumberFormat="1" applyFont="1" applyBorder="1"/>
    <xf numFmtId="39" fontId="5" fillId="0" borderId="3" xfId="1" applyNumberFormat="1" applyFont="1" applyFill="1" applyBorder="1" applyAlignment="1" applyProtection="1"/>
    <xf numFmtId="39" fontId="3" fillId="0" borderId="0" xfId="1" applyNumberFormat="1" applyFont="1" applyFill="1" applyBorder="1" applyAlignment="1" applyProtection="1"/>
    <xf numFmtId="39" fontId="3" fillId="0" borderId="1" xfId="1" applyNumberFormat="1" applyFont="1" applyFill="1" applyBorder="1" applyAlignment="1" applyProtection="1"/>
    <xf numFmtId="39" fontId="5" fillId="0" borderId="1" xfId="1" applyNumberFormat="1" applyFont="1" applyFill="1" applyBorder="1" applyAlignment="1" applyProtection="1"/>
    <xf numFmtId="39" fontId="5" fillId="0" borderId="3" xfId="0" applyNumberFormat="1" applyFont="1" applyBorder="1"/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dora/Downloads/ACOPROVIS%20INFORME%20DEL%20ANO%202017%20Y%20ANO-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BG COMPARATIVO"/>
      <sheetName val="DETALLE"/>
      <sheetName val="ER-COMPARATIVO"/>
      <sheetName val="ER"/>
      <sheetName val="RESUMEN ESTADOS"/>
      <sheetName val="INGRESOS Y GASTOS MENSUALES"/>
      <sheetName val="Hoja1"/>
      <sheetName val="Hoja10"/>
    </sheetNames>
    <sheetDataSet>
      <sheetData sheetId="0">
        <row r="14">
          <cell r="D14">
            <v>933983.83</v>
          </cell>
        </row>
        <row r="24">
          <cell r="D24">
            <v>584319.62</v>
          </cell>
        </row>
        <row r="40">
          <cell r="D40">
            <v>12118015.870000001</v>
          </cell>
        </row>
      </sheetData>
      <sheetData sheetId="1" refreshError="1"/>
      <sheetData sheetId="2">
        <row r="9">
          <cell r="D9">
            <v>525904.81000000006</v>
          </cell>
        </row>
        <row r="10">
          <cell r="D10">
            <v>1974.21</v>
          </cell>
        </row>
        <row r="11">
          <cell r="D11">
            <v>87397.9</v>
          </cell>
        </row>
        <row r="12">
          <cell r="D12">
            <v>13000</v>
          </cell>
        </row>
        <row r="41">
          <cell r="D41">
            <v>6559360.4000000004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0"/>
  <sheetViews>
    <sheetView tabSelected="1" topLeftCell="A4" workbookViewId="0">
      <selection activeCell="I5" sqref="I5"/>
    </sheetView>
  </sheetViews>
  <sheetFormatPr baseColWidth="10" defaultRowHeight="15" x14ac:dyDescent="0.25"/>
  <cols>
    <col min="1" max="1" width="2.85546875" customWidth="1"/>
    <col min="2" max="2" width="28.140625" customWidth="1"/>
    <col min="3" max="3" width="21.85546875" customWidth="1"/>
    <col min="4" max="4" width="17.28515625" customWidth="1"/>
    <col min="5" max="5" width="17.7109375" customWidth="1"/>
  </cols>
  <sheetData>
    <row r="2" spans="1:5" ht="16.5" x14ac:dyDescent="0.3">
      <c r="A2" s="1" t="s">
        <v>0</v>
      </c>
      <c r="B2" s="1"/>
      <c r="C2" s="1"/>
      <c r="D2" s="2"/>
      <c r="E2" s="2"/>
    </row>
    <row r="3" spans="1:5" ht="16.5" x14ac:dyDescent="0.3">
      <c r="A3" s="1" t="s">
        <v>1</v>
      </c>
      <c r="B3" s="1"/>
      <c r="C3" s="1"/>
      <c r="D3" s="2"/>
      <c r="E3" s="2"/>
    </row>
    <row r="4" spans="1:5" ht="16.5" x14ac:dyDescent="0.3">
      <c r="A4" s="3"/>
      <c r="B4" s="3"/>
      <c r="C4" s="3"/>
      <c r="D4" s="2"/>
      <c r="E4" s="2"/>
    </row>
    <row r="5" spans="1:5" ht="18.75" x14ac:dyDescent="0.3">
      <c r="A5" s="4" t="s">
        <v>2</v>
      </c>
      <c r="B5" s="4"/>
      <c r="C5" s="4"/>
      <c r="D5" s="2"/>
      <c r="E5" s="2"/>
    </row>
    <row r="6" spans="1:5" ht="18.75" x14ac:dyDescent="0.3">
      <c r="A6" s="4" t="s">
        <v>100</v>
      </c>
      <c r="B6" s="4"/>
      <c r="C6" s="4"/>
      <c r="D6" s="2"/>
      <c r="E6" s="2"/>
    </row>
    <row r="7" spans="1:5" ht="16.5" x14ac:dyDescent="0.3">
      <c r="A7" s="5"/>
      <c r="B7" s="5"/>
      <c r="C7" s="5"/>
      <c r="D7" s="6"/>
      <c r="E7" s="6"/>
    </row>
    <row r="8" spans="1:5" ht="15.75" x14ac:dyDescent="0.25">
      <c r="A8" s="2"/>
      <c r="B8" s="2"/>
      <c r="C8" s="2"/>
      <c r="D8" s="2"/>
      <c r="E8" s="2"/>
    </row>
    <row r="9" spans="1:5" ht="17.25" x14ac:dyDescent="0.3">
      <c r="A9" s="7"/>
      <c r="B9" s="8"/>
      <c r="C9" s="9" t="s">
        <v>3</v>
      </c>
      <c r="D9" s="9" t="s">
        <v>4</v>
      </c>
      <c r="E9" s="10" t="s">
        <v>5</v>
      </c>
    </row>
    <row r="10" spans="1:5" ht="17.25" x14ac:dyDescent="0.3">
      <c r="A10" s="7"/>
      <c r="B10" s="8" t="s">
        <v>6</v>
      </c>
      <c r="C10" s="11"/>
      <c r="D10" s="12"/>
      <c r="E10" s="2"/>
    </row>
    <row r="11" spans="1:5" ht="15.75" x14ac:dyDescent="0.25">
      <c r="A11" s="2"/>
      <c r="B11" s="13" t="s">
        <v>7</v>
      </c>
      <c r="C11" s="14">
        <v>836000</v>
      </c>
      <c r="D11" s="15">
        <v>445000</v>
      </c>
      <c r="E11" s="16">
        <f t="shared" ref="E11:E22" si="0">SUM(C11-D11)</f>
        <v>391000</v>
      </c>
    </row>
    <row r="12" spans="1:5" ht="15.75" x14ac:dyDescent="0.25">
      <c r="A12" s="2"/>
      <c r="B12" s="13" t="s">
        <v>8</v>
      </c>
      <c r="C12" s="14">
        <v>4102500</v>
      </c>
      <c r="D12" s="15">
        <v>3425250</v>
      </c>
      <c r="E12" s="16">
        <f t="shared" si="0"/>
        <v>677250</v>
      </c>
    </row>
    <row r="13" spans="1:5" ht="15.75" x14ac:dyDescent="0.25">
      <c r="A13" s="2"/>
      <c r="B13" s="13" t="s">
        <v>9</v>
      </c>
      <c r="C13" s="14">
        <v>131400</v>
      </c>
      <c r="D13" s="15">
        <v>424788.82</v>
      </c>
      <c r="E13" s="16">
        <f t="shared" si="0"/>
        <v>-293388.82</v>
      </c>
    </row>
    <row r="14" spans="1:5" ht="15.75" x14ac:dyDescent="0.25">
      <c r="A14" s="2"/>
      <c r="B14" s="13" t="s">
        <v>10</v>
      </c>
      <c r="C14" s="14">
        <v>550500</v>
      </c>
      <c r="D14" s="15">
        <f>955000+364104.7</f>
        <v>1319104.7</v>
      </c>
      <c r="E14" s="16">
        <f t="shared" si="0"/>
        <v>-768604.7</v>
      </c>
    </row>
    <row r="15" spans="1:5" ht="15.75" x14ac:dyDescent="0.25">
      <c r="A15" s="2"/>
      <c r="B15" s="13" t="s">
        <v>11</v>
      </c>
      <c r="C15" s="14">
        <v>482000</v>
      </c>
      <c r="D15" s="15">
        <v>1031629.98</v>
      </c>
      <c r="E15" s="16">
        <f t="shared" si="0"/>
        <v>-549629.98</v>
      </c>
    </row>
    <row r="16" spans="1:5" ht="15.75" x14ac:dyDescent="0.25">
      <c r="A16" s="2"/>
      <c r="B16" s="13" t="s">
        <v>12</v>
      </c>
      <c r="C16" s="14">
        <v>45000</v>
      </c>
      <c r="D16" s="15">
        <v>303420.58</v>
      </c>
      <c r="E16" s="16">
        <f t="shared" si="0"/>
        <v>-258420.58000000002</v>
      </c>
    </row>
    <row r="17" spans="1:5" ht="15.75" x14ac:dyDescent="0.25">
      <c r="A17" s="2"/>
      <c r="B17" s="13" t="s">
        <v>13</v>
      </c>
      <c r="C17" s="14">
        <v>1190750</v>
      </c>
      <c r="D17" s="17">
        <v>1517102.91</v>
      </c>
      <c r="E17" s="16">
        <f t="shared" si="0"/>
        <v>-326352.90999999992</v>
      </c>
    </row>
    <row r="18" spans="1:5" ht="15.75" x14ac:dyDescent="0.25">
      <c r="A18" s="2"/>
      <c r="B18" s="13" t="s">
        <v>14</v>
      </c>
      <c r="C18" s="14">
        <v>165000</v>
      </c>
      <c r="D18" s="15">
        <v>546157.05000000005</v>
      </c>
      <c r="E18" s="16">
        <f t="shared" si="0"/>
        <v>-381157.05000000005</v>
      </c>
    </row>
    <row r="19" spans="1:5" ht="15.75" x14ac:dyDescent="0.25">
      <c r="A19" s="2"/>
      <c r="B19" s="13" t="s">
        <v>15</v>
      </c>
      <c r="C19" s="14">
        <v>228000</v>
      </c>
      <c r="D19" s="18">
        <v>970945.86</v>
      </c>
      <c r="E19" s="16">
        <f t="shared" si="0"/>
        <v>-742945.86</v>
      </c>
    </row>
    <row r="20" spans="1:5" ht="15.75" x14ac:dyDescent="0.25">
      <c r="A20" s="2"/>
      <c r="B20" s="13" t="s">
        <v>16</v>
      </c>
      <c r="C20" s="14">
        <v>535385.5</v>
      </c>
      <c r="D20" s="17">
        <v>910261.75</v>
      </c>
      <c r="E20" s="16">
        <f t="shared" si="0"/>
        <v>-374876.25</v>
      </c>
    </row>
    <row r="21" spans="1:5" ht="15.75" x14ac:dyDescent="0.25">
      <c r="A21" s="2"/>
      <c r="B21" s="13" t="s">
        <v>17</v>
      </c>
      <c r="C21" s="14">
        <v>148355.68</v>
      </c>
      <c r="D21" s="17">
        <f>4513.17+4066.43</f>
        <v>8579.6</v>
      </c>
      <c r="E21" s="16">
        <f t="shared" si="0"/>
        <v>139776.07999999999</v>
      </c>
    </row>
    <row r="22" spans="1:5" ht="15.75" x14ac:dyDescent="0.25">
      <c r="A22" s="2"/>
      <c r="B22" s="13" t="s">
        <v>18</v>
      </c>
      <c r="C22" s="14">
        <v>9483700.7200000007</v>
      </c>
      <c r="D22" s="17">
        <v>8385425.2000000002</v>
      </c>
      <c r="E22" s="16">
        <f t="shared" si="0"/>
        <v>1098275.5200000005</v>
      </c>
    </row>
    <row r="23" spans="1:5" ht="16.5" x14ac:dyDescent="0.3">
      <c r="A23" s="2"/>
      <c r="B23" s="19" t="s">
        <v>19</v>
      </c>
      <c r="C23" s="20">
        <f>SUM(C11:C22)</f>
        <v>17898591.899999999</v>
      </c>
      <c r="D23" s="20">
        <f>SUM(D11:D22)</f>
        <v>19287666.449999999</v>
      </c>
      <c r="E23" s="20">
        <f>SUM(E11:E22)</f>
        <v>-1389074.5499999993</v>
      </c>
    </row>
    <row r="24" spans="1:5" ht="16.5" x14ac:dyDescent="0.3">
      <c r="A24" s="7"/>
      <c r="B24" s="21"/>
      <c r="C24" s="19"/>
      <c r="D24" s="17"/>
      <c r="E24" s="16"/>
    </row>
    <row r="25" spans="1:5" ht="16.5" x14ac:dyDescent="0.3">
      <c r="A25" s="7"/>
      <c r="B25" s="19" t="s">
        <v>20</v>
      </c>
      <c r="C25" s="14"/>
      <c r="D25" s="15"/>
      <c r="E25" s="16"/>
    </row>
    <row r="26" spans="1:5" ht="16.5" x14ac:dyDescent="0.3">
      <c r="A26" s="7"/>
      <c r="B26" s="13" t="s">
        <v>21</v>
      </c>
      <c r="C26" s="14">
        <f>1740242.64+50290</f>
        <v>1790532.64</v>
      </c>
      <c r="D26" s="18">
        <v>1790557</v>
      </c>
      <c r="E26" s="16">
        <f t="shared" ref="E26:E34" si="1">SUM(C26-D26)</f>
        <v>-24.360000000102445</v>
      </c>
    </row>
    <row r="27" spans="1:5" ht="15.75" x14ac:dyDescent="0.25">
      <c r="A27" s="2"/>
      <c r="B27" s="13" t="s">
        <v>22</v>
      </c>
      <c r="C27" s="14">
        <v>50121.4</v>
      </c>
      <c r="D27" s="22">
        <f>12540+28266.4</f>
        <v>40806.400000000001</v>
      </c>
      <c r="E27" s="16">
        <f t="shared" si="1"/>
        <v>9315</v>
      </c>
    </row>
    <row r="28" spans="1:5" ht="15.75" x14ac:dyDescent="0.25">
      <c r="A28" s="2"/>
      <c r="B28" s="13" t="s">
        <v>23</v>
      </c>
      <c r="C28" s="14">
        <v>51150</v>
      </c>
      <c r="D28" s="23">
        <f>151665.04+33625</f>
        <v>185290.04</v>
      </c>
      <c r="E28" s="16">
        <f t="shared" si="1"/>
        <v>-134140.04</v>
      </c>
    </row>
    <row r="29" spans="1:5" ht="15.75" x14ac:dyDescent="0.25">
      <c r="A29" s="2"/>
      <c r="B29" s="13" t="s">
        <v>24</v>
      </c>
      <c r="C29" s="14">
        <v>1092878</v>
      </c>
      <c r="D29" s="24">
        <v>64685.89</v>
      </c>
      <c r="E29" s="16">
        <f t="shared" si="1"/>
        <v>1028192.11</v>
      </c>
    </row>
    <row r="30" spans="1:5" ht="15.75" x14ac:dyDescent="0.25">
      <c r="A30" s="2"/>
      <c r="B30" s="13" t="s">
        <v>25</v>
      </c>
      <c r="C30" s="14">
        <v>148230</v>
      </c>
      <c r="D30" s="25">
        <v>512425.99</v>
      </c>
      <c r="E30" s="16">
        <f t="shared" si="1"/>
        <v>-364195.99</v>
      </c>
    </row>
    <row r="31" spans="1:5" ht="15.75" x14ac:dyDescent="0.25">
      <c r="A31" s="2"/>
      <c r="B31" s="13" t="s">
        <v>26</v>
      </c>
      <c r="C31" s="14">
        <v>459511.41</v>
      </c>
      <c r="D31" s="24">
        <f>163245.48+13742.81+106218.13</f>
        <v>283206.42000000004</v>
      </c>
      <c r="E31" s="16">
        <f t="shared" si="1"/>
        <v>176304.98999999993</v>
      </c>
    </row>
    <row r="32" spans="1:5" ht="15.75" x14ac:dyDescent="0.25">
      <c r="A32" s="2"/>
      <c r="B32" s="13" t="s">
        <v>27</v>
      </c>
      <c r="C32" s="14">
        <v>523549</v>
      </c>
      <c r="D32" s="24">
        <v>32629.35</v>
      </c>
      <c r="E32" s="16">
        <f t="shared" si="1"/>
        <v>490919.65</v>
      </c>
    </row>
    <row r="33" spans="1:5" ht="15.75" x14ac:dyDescent="0.25">
      <c r="A33" s="2"/>
      <c r="B33" s="13" t="s">
        <v>28</v>
      </c>
      <c r="C33" s="14">
        <v>164041</v>
      </c>
      <c r="D33" s="24">
        <v>138257.73000000001</v>
      </c>
      <c r="E33" s="16">
        <f t="shared" si="1"/>
        <v>25783.26999999999</v>
      </c>
    </row>
    <row r="34" spans="1:5" ht="15.75" x14ac:dyDescent="0.25">
      <c r="A34" s="2"/>
      <c r="B34" s="13" t="s">
        <v>29</v>
      </c>
      <c r="C34" s="14"/>
      <c r="D34" s="24">
        <v>57700.38</v>
      </c>
      <c r="E34" s="16">
        <f t="shared" si="1"/>
        <v>-57700.38</v>
      </c>
    </row>
    <row r="35" spans="1:5" ht="15.75" x14ac:dyDescent="0.25">
      <c r="A35" s="2"/>
      <c r="B35" s="13" t="s">
        <v>30</v>
      </c>
      <c r="C35" s="14"/>
      <c r="D35" s="24">
        <v>14687.5</v>
      </c>
      <c r="E35" s="16"/>
    </row>
    <row r="36" spans="1:5" ht="15.75" x14ac:dyDescent="0.25">
      <c r="A36" s="2"/>
      <c r="B36" s="13" t="s">
        <v>31</v>
      </c>
      <c r="C36" s="14">
        <v>32000</v>
      </c>
      <c r="D36" s="24">
        <v>157684.5</v>
      </c>
      <c r="E36" s="16">
        <f>SUM(C36-D36)</f>
        <v>-125684.5</v>
      </c>
    </row>
    <row r="37" spans="1:5" ht="16.5" x14ac:dyDescent="0.3">
      <c r="A37" s="7"/>
      <c r="B37" s="19" t="s">
        <v>32</v>
      </c>
      <c r="C37" s="20">
        <f>SUM(C26:C36)</f>
        <v>4312013.45</v>
      </c>
      <c r="D37" s="20">
        <f>SUM(D26:D36)</f>
        <v>3277931.1999999997</v>
      </c>
      <c r="E37" s="20">
        <f>SUM(E26:E36)</f>
        <v>1048769.75</v>
      </c>
    </row>
    <row r="38" spans="1:5" ht="15.75" x14ac:dyDescent="0.25">
      <c r="A38" s="2"/>
      <c r="B38" s="21"/>
      <c r="C38" s="13"/>
      <c r="D38" s="26"/>
      <c r="E38" s="27"/>
    </row>
    <row r="39" spans="1:5" ht="15.75" x14ac:dyDescent="0.25">
      <c r="A39" s="2"/>
      <c r="B39" s="13" t="s">
        <v>33</v>
      </c>
      <c r="C39" s="14">
        <v>35640</v>
      </c>
      <c r="D39" s="25"/>
      <c r="E39" s="16">
        <f t="shared" ref="E39:E57" si="2">SUM(C39-D39)</f>
        <v>35640</v>
      </c>
    </row>
    <row r="40" spans="1:5" ht="15.75" x14ac:dyDescent="0.25">
      <c r="A40" s="2"/>
      <c r="B40" s="13" t="s">
        <v>34</v>
      </c>
      <c r="C40" s="14">
        <v>97013</v>
      </c>
      <c r="D40" s="28">
        <f>7521+37155.11</f>
        <v>44676.11</v>
      </c>
      <c r="E40" s="16">
        <f t="shared" si="2"/>
        <v>52336.89</v>
      </c>
    </row>
    <row r="41" spans="1:5" ht="15.75" x14ac:dyDescent="0.25">
      <c r="A41" s="2"/>
      <c r="B41" s="13" t="s">
        <v>35</v>
      </c>
      <c r="C41" s="14">
        <v>4130</v>
      </c>
      <c r="D41" s="23"/>
      <c r="E41" s="16">
        <f t="shared" si="2"/>
        <v>4130</v>
      </c>
    </row>
    <row r="42" spans="1:5" ht="15.75" x14ac:dyDescent="0.25">
      <c r="A42" s="2"/>
      <c r="B42" s="13" t="s">
        <v>36</v>
      </c>
      <c r="C42" s="14">
        <v>44585</v>
      </c>
      <c r="D42" s="29">
        <f>122601</f>
        <v>122601</v>
      </c>
      <c r="E42" s="16">
        <f t="shared" si="2"/>
        <v>-78016</v>
      </c>
    </row>
    <row r="43" spans="1:5" ht="15.75" x14ac:dyDescent="0.25">
      <c r="A43" s="2"/>
      <c r="B43" s="13" t="s">
        <v>37</v>
      </c>
      <c r="C43" s="14">
        <v>379810.79</v>
      </c>
      <c r="D43" s="29">
        <f>253775.22+123223.07+2812.5</f>
        <v>379810.79000000004</v>
      </c>
      <c r="E43" s="16">
        <f t="shared" si="2"/>
        <v>-5.8207660913467407E-11</v>
      </c>
    </row>
    <row r="44" spans="1:5" ht="15.75" x14ac:dyDescent="0.25">
      <c r="A44" s="2"/>
      <c r="B44" s="13" t="s">
        <v>38</v>
      </c>
      <c r="C44" s="14">
        <v>24973</v>
      </c>
      <c r="D44" s="29">
        <f>1534+4956+5418.36</f>
        <v>11908.36</v>
      </c>
      <c r="E44" s="16">
        <f t="shared" si="2"/>
        <v>13064.64</v>
      </c>
    </row>
    <row r="45" spans="1:5" ht="15.75" x14ac:dyDescent="0.25">
      <c r="A45" s="2"/>
      <c r="B45" s="13" t="s">
        <v>39</v>
      </c>
      <c r="C45" s="14">
        <v>224130.83</v>
      </c>
      <c r="D45" s="29">
        <f>63724.36+3257.01+17835</f>
        <v>84816.37</v>
      </c>
      <c r="E45" s="16">
        <f t="shared" si="2"/>
        <v>139314.46</v>
      </c>
    </row>
    <row r="46" spans="1:5" ht="15.75" x14ac:dyDescent="0.25">
      <c r="A46" s="2"/>
      <c r="B46" s="13" t="s">
        <v>40</v>
      </c>
      <c r="C46" s="14">
        <v>4393</v>
      </c>
      <c r="D46" s="29">
        <v>17886.95</v>
      </c>
      <c r="E46" s="16">
        <f t="shared" si="2"/>
        <v>-13493.95</v>
      </c>
    </row>
    <row r="47" spans="1:5" ht="15.75" x14ac:dyDescent="0.25">
      <c r="A47" s="2"/>
      <c r="B47" s="13" t="s">
        <v>41</v>
      </c>
      <c r="C47" s="14">
        <v>124200</v>
      </c>
      <c r="D47" s="29">
        <v>16962</v>
      </c>
      <c r="E47" s="16">
        <f t="shared" si="2"/>
        <v>107238</v>
      </c>
    </row>
    <row r="48" spans="1:5" ht="15.75" x14ac:dyDescent="0.25">
      <c r="A48" s="2"/>
      <c r="B48" s="13" t="s">
        <v>42</v>
      </c>
      <c r="C48" s="14">
        <v>98456</v>
      </c>
      <c r="D48" s="29">
        <v>99987</v>
      </c>
      <c r="E48" s="16">
        <f t="shared" si="2"/>
        <v>-1531</v>
      </c>
    </row>
    <row r="49" spans="1:5" ht="15.75" x14ac:dyDescent="0.25">
      <c r="A49" s="2"/>
      <c r="B49" s="13" t="s">
        <v>43</v>
      </c>
      <c r="C49" s="14">
        <v>92504.639999999999</v>
      </c>
      <c r="D49" s="29">
        <v>108806</v>
      </c>
      <c r="E49" s="16">
        <f t="shared" si="2"/>
        <v>-16301.36</v>
      </c>
    </row>
    <row r="50" spans="1:5" ht="15.75" x14ac:dyDescent="0.25">
      <c r="A50" s="2"/>
      <c r="B50" s="13" t="s">
        <v>44</v>
      </c>
      <c r="C50" s="14">
        <v>50382</v>
      </c>
      <c r="D50" s="29"/>
      <c r="E50" s="16">
        <f t="shared" si="2"/>
        <v>50382</v>
      </c>
    </row>
    <row r="51" spans="1:5" ht="15.75" x14ac:dyDescent="0.25">
      <c r="A51" s="2"/>
      <c r="B51" s="13" t="s">
        <v>45</v>
      </c>
      <c r="C51" s="14">
        <v>251414</v>
      </c>
      <c r="D51" s="29">
        <f>460908.73</f>
        <v>460908.73</v>
      </c>
      <c r="E51" s="16">
        <f t="shared" si="2"/>
        <v>-209494.72999999998</v>
      </c>
    </row>
    <row r="52" spans="1:5" ht="16.5" x14ac:dyDescent="0.3">
      <c r="A52" s="7"/>
      <c r="B52" s="13" t="s">
        <v>46</v>
      </c>
      <c r="C52" s="14">
        <v>41300</v>
      </c>
      <c r="D52" s="29">
        <v>98459</v>
      </c>
      <c r="E52" s="16">
        <f t="shared" si="2"/>
        <v>-57159</v>
      </c>
    </row>
    <row r="53" spans="1:5" ht="16.5" x14ac:dyDescent="0.3">
      <c r="A53" s="7"/>
      <c r="B53" s="13" t="s">
        <v>47</v>
      </c>
      <c r="C53" s="14">
        <v>1505466</v>
      </c>
      <c r="D53" s="25"/>
      <c r="E53" s="16">
        <f t="shared" si="2"/>
        <v>1505466</v>
      </c>
    </row>
    <row r="54" spans="1:5" ht="16.5" x14ac:dyDescent="0.3">
      <c r="A54" s="7"/>
      <c r="B54" s="13" t="s">
        <v>48</v>
      </c>
      <c r="C54" s="14">
        <v>169985</v>
      </c>
      <c r="D54" s="29">
        <f>149419+6650</f>
        <v>156069</v>
      </c>
      <c r="E54" s="16">
        <f t="shared" si="2"/>
        <v>13916</v>
      </c>
    </row>
    <row r="55" spans="1:5" ht="16.5" x14ac:dyDescent="0.3">
      <c r="A55" s="7"/>
      <c r="B55" s="13" t="s">
        <v>49</v>
      </c>
      <c r="C55" s="14">
        <v>50763.21</v>
      </c>
      <c r="D55" s="29">
        <v>208156</v>
      </c>
      <c r="E55" s="16">
        <f t="shared" si="2"/>
        <v>-157392.79</v>
      </c>
    </row>
    <row r="56" spans="1:5" ht="16.5" x14ac:dyDescent="0.3">
      <c r="A56" s="7"/>
      <c r="B56" s="13" t="s">
        <v>50</v>
      </c>
      <c r="C56" s="14">
        <v>7971.44</v>
      </c>
      <c r="D56" s="30">
        <v>76411.22</v>
      </c>
      <c r="E56" s="16">
        <f t="shared" si="2"/>
        <v>-68439.78</v>
      </c>
    </row>
    <row r="57" spans="1:5" ht="15.75" x14ac:dyDescent="0.25">
      <c r="A57" s="2"/>
      <c r="B57" s="13" t="s">
        <v>51</v>
      </c>
      <c r="C57" s="14">
        <v>109888.89</v>
      </c>
      <c r="D57" s="28">
        <v>125866.67</v>
      </c>
      <c r="E57" s="16">
        <f t="shared" si="2"/>
        <v>-15977.779999999999</v>
      </c>
    </row>
    <row r="58" spans="1:5" ht="16.5" x14ac:dyDescent="0.3">
      <c r="A58" s="2"/>
      <c r="B58" s="19" t="s">
        <v>52</v>
      </c>
      <c r="C58" s="20">
        <f>SUM(C39:C57)</f>
        <v>3317006.8</v>
      </c>
      <c r="D58" s="20">
        <f>SUM(D39:D57)</f>
        <v>2013325.2</v>
      </c>
      <c r="E58" s="20">
        <f>SUM(E39:E57)</f>
        <v>1303681.5999999999</v>
      </c>
    </row>
    <row r="59" spans="1:5" ht="15.75" x14ac:dyDescent="0.25">
      <c r="A59" s="2"/>
      <c r="B59" s="21"/>
      <c r="C59" s="13"/>
      <c r="D59" s="30"/>
      <c r="E59" s="16"/>
    </row>
    <row r="60" spans="1:5" ht="15.75" x14ac:dyDescent="0.25">
      <c r="A60" s="2"/>
      <c r="B60" s="13" t="s">
        <v>53</v>
      </c>
      <c r="C60" s="14">
        <v>7463033.3700000001</v>
      </c>
      <c r="D60" s="30">
        <f>8366508.62+404512.74+80000</f>
        <v>8851021.3599999994</v>
      </c>
      <c r="E60" s="16">
        <f>SUM(C60-D60)</f>
        <v>-1387987.9899999993</v>
      </c>
    </row>
    <row r="61" spans="1:5" ht="15.75" x14ac:dyDescent="0.25">
      <c r="A61" s="2"/>
      <c r="B61" s="13" t="s">
        <v>54</v>
      </c>
      <c r="C61" s="14">
        <v>80557.08</v>
      </c>
      <c r="D61" s="30">
        <v>93497.35</v>
      </c>
      <c r="E61" s="16">
        <f>SUM(C61-D61)</f>
        <v>-12940.270000000004</v>
      </c>
    </row>
    <row r="62" spans="1:5" ht="15.75" x14ac:dyDescent="0.25">
      <c r="A62" s="2"/>
      <c r="B62" s="13" t="s">
        <v>55</v>
      </c>
      <c r="C62" s="14">
        <v>186737</v>
      </c>
      <c r="D62" s="30"/>
      <c r="E62" s="16"/>
    </row>
    <row r="63" spans="1:5" ht="15.75" x14ac:dyDescent="0.25">
      <c r="A63" s="2"/>
      <c r="B63" s="13" t="s">
        <v>56</v>
      </c>
      <c r="C63" s="14">
        <v>598931.06000000006</v>
      </c>
      <c r="D63" s="30"/>
      <c r="E63" s="16">
        <f>SUM(C63-D63)</f>
        <v>598931.06000000006</v>
      </c>
    </row>
    <row r="64" spans="1:5" ht="16.5" x14ac:dyDescent="0.3">
      <c r="A64" s="2"/>
      <c r="B64" s="19" t="s">
        <v>57</v>
      </c>
      <c r="C64" s="20">
        <f>SUM(C60:C63)</f>
        <v>8329258.5099999998</v>
      </c>
      <c r="D64" s="20">
        <f>SUM(D60:D63)</f>
        <v>8944518.709999999</v>
      </c>
      <c r="E64" s="20">
        <f>SUM(E60:E63)</f>
        <v>-801997.19999999925</v>
      </c>
    </row>
    <row r="65" spans="1:5" ht="15.75" x14ac:dyDescent="0.25">
      <c r="A65" s="2"/>
      <c r="B65" s="21"/>
      <c r="C65" s="13"/>
      <c r="D65" s="30"/>
      <c r="E65" s="27"/>
    </row>
    <row r="66" spans="1:5" ht="15.75" x14ac:dyDescent="0.25">
      <c r="A66" s="2"/>
      <c r="B66" s="21" t="s">
        <v>58</v>
      </c>
      <c r="C66" s="14">
        <v>322480.33</v>
      </c>
      <c r="D66" s="30"/>
      <c r="E66" s="16">
        <f t="shared" ref="E66:E73" si="3">SUM(C66-D66)</f>
        <v>322480.33</v>
      </c>
    </row>
    <row r="67" spans="1:5" ht="15.75" x14ac:dyDescent="0.25">
      <c r="A67" s="2"/>
      <c r="B67" s="13" t="s">
        <v>59</v>
      </c>
      <c r="C67" s="14">
        <v>410021.8</v>
      </c>
      <c r="D67" s="30">
        <v>159300</v>
      </c>
      <c r="E67" s="16">
        <f t="shared" si="3"/>
        <v>250721.8</v>
      </c>
    </row>
    <row r="68" spans="1:5" ht="16.5" x14ac:dyDescent="0.3">
      <c r="A68" s="7"/>
      <c r="B68" s="13" t="s">
        <v>60</v>
      </c>
      <c r="C68" s="14">
        <v>240724</v>
      </c>
      <c r="D68" s="30"/>
      <c r="E68" s="16">
        <f t="shared" si="3"/>
        <v>240724</v>
      </c>
    </row>
    <row r="69" spans="1:5" ht="16.5" x14ac:dyDescent="0.3">
      <c r="A69" s="7"/>
      <c r="B69" s="13" t="s">
        <v>61</v>
      </c>
      <c r="C69" s="14"/>
      <c r="D69" s="30">
        <v>233502.63</v>
      </c>
      <c r="E69" s="16">
        <f t="shared" si="3"/>
        <v>-233502.63</v>
      </c>
    </row>
    <row r="70" spans="1:5" ht="16.5" x14ac:dyDescent="0.3">
      <c r="A70" s="7"/>
      <c r="B70" s="13" t="s">
        <v>62</v>
      </c>
      <c r="C70" s="14">
        <v>9800</v>
      </c>
      <c r="D70" s="30">
        <v>9800</v>
      </c>
      <c r="E70" s="16">
        <f t="shared" si="3"/>
        <v>0</v>
      </c>
    </row>
    <row r="71" spans="1:5" ht="16.5" x14ac:dyDescent="0.3">
      <c r="A71" s="7"/>
      <c r="B71" s="13" t="s">
        <v>63</v>
      </c>
      <c r="C71" s="14"/>
      <c r="D71" s="30">
        <f>5664+4291.5+19158</f>
        <v>29113.5</v>
      </c>
      <c r="E71" s="16">
        <f t="shared" si="3"/>
        <v>-29113.5</v>
      </c>
    </row>
    <row r="72" spans="1:5" ht="15.75" x14ac:dyDescent="0.25">
      <c r="A72" s="2"/>
      <c r="B72" s="13" t="s">
        <v>64</v>
      </c>
      <c r="C72" s="14">
        <v>468593.4</v>
      </c>
      <c r="D72" s="28">
        <v>514675.6</v>
      </c>
      <c r="E72" s="16">
        <f t="shared" si="3"/>
        <v>-46082.199999999953</v>
      </c>
    </row>
    <row r="73" spans="1:5" ht="16.5" x14ac:dyDescent="0.3">
      <c r="A73" s="7"/>
      <c r="B73" s="13" t="s">
        <v>65</v>
      </c>
      <c r="C73" s="14">
        <v>134312.74</v>
      </c>
      <c r="D73" s="23">
        <v>143303.12</v>
      </c>
      <c r="E73" s="16">
        <f t="shared" si="3"/>
        <v>-8990.3800000000047</v>
      </c>
    </row>
    <row r="74" spans="1:5" ht="16.5" x14ac:dyDescent="0.3">
      <c r="A74" s="7"/>
      <c r="B74" s="19" t="s">
        <v>66</v>
      </c>
      <c r="C74" s="31">
        <f>SUM(C66:C73)</f>
        <v>1585932.27</v>
      </c>
      <c r="D74" s="31">
        <f>SUM(D66:D73)</f>
        <v>1089694.8500000001</v>
      </c>
      <c r="E74" s="31">
        <f>SUM(E66:E73)</f>
        <v>496237.42000000004</v>
      </c>
    </row>
    <row r="75" spans="1:5" ht="16.5" x14ac:dyDescent="0.3">
      <c r="A75" s="2"/>
      <c r="B75" s="19"/>
      <c r="C75" s="13"/>
      <c r="D75" s="32"/>
      <c r="E75" s="27"/>
    </row>
    <row r="76" spans="1:5" ht="16.5" x14ac:dyDescent="0.3">
      <c r="A76" s="2"/>
      <c r="B76" s="19" t="s">
        <v>67</v>
      </c>
      <c r="C76" s="33">
        <v>169804.47</v>
      </c>
      <c r="D76" s="34">
        <f>2121.85+131260.19+21741.35+705.03+0.13</f>
        <v>155828.55000000002</v>
      </c>
      <c r="E76" s="33">
        <f>C76-D76</f>
        <v>13975.919999999984</v>
      </c>
    </row>
    <row r="77" spans="1:5" ht="16.5" x14ac:dyDescent="0.3">
      <c r="A77" s="2"/>
      <c r="B77" s="21"/>
      <c r="C77" s="19"/>
      <c r="D77" s="32"/>
      <c r="E77" s="27"/>
    </row>
    <row r="78" spans="1:5" ht="16.5" x14ac:dyDescent="0.3">
      <c r="A78" s="2"/>
      <c r="B78" s="19" t="s">
        <v>67</v>
      </c>
      <c r="C78" s="33">
        <v>169804.47</v>
      </c>
      <c r="D78" s="33">
        <f>SUM(D76)</f>
        <v>155828.55000000002</v>
      </c>
      <c r="E78" s="33">
        <f>C78-D78</f>
        <v>13975.919999999984</v>
      </c>
    </row>
    <row r="79" spans="1:5" ht="16.5" x14ac:dyDescent="0.3">
      <c r="A79" s="7"/>
      <c r="B79" s="21"/>
      <c r="C79" s="19"/>
      <c r="D79" s="14"/>
      <c r="E79" s="16"/>
    </row>
    <row r="80" spans="1:5" ht="16.5" x14ac:dyDescent="0.3">
      <c r="A80" s="2"/>
      <c r="B80" s="19" t="s">
        <v>68</v>
      </c>
      <c r="C80" s="33">
        <f>C37+C58+C74+C64+C78</f>
        <v>17714015.5</v>
      </c>
      <c r="D80" s="33">
        <f>D37+D58+D74+D64+D78</f>
        <v>15481298.51</v>
      </c>
      <c r="E80" s="33">
        <f>E37+E58+E74+E64+E78</f>
        <v>2060667.4900000002</v>
      </c>
    </row>
    <row r="81" spans="1:5" ht="16.5" x14ac:dyDescent="0.3">
      <c r="A81" s="7"/>
      <c r="B81" s="21"/>
      <c r="C81" s="19"/>
      <c r="D81" s="35"/>
      <c r="E81" s="27"/>
    </row>
    <row r="82" spans="1:5" ht="16.5" x14ac:dyDescent="0.3">
      <c r="A82" s="2"/>
      <c r="B82" s="19" t="s">
        <v>69</v>
      </c>
      <c r="C82" s="36">
        <v>9579.7000000000007</v>
      </c>
      <c r="D82" s="35"/>
      <c r="E82" s="16">
        <f>SUM(C82-D82)</f>
        <v>9579.7000000000007</v>
      </c>
    </row>
    <row r="83" spans="1:5" ht="16.5" x14ac:dyDescent="0.3">
      <c r="A83" s="2"/>
      <c r="B83" s="19" t="s">
        <v>70</v>
      </c>
      <c r="C83" s="36">
        <v>12521.64</v>
      </c>
      <c r="D83" s="24">
        <f>2843.76+8550.67</f>
        <v>11394.43</v>
      </c>
      <c r="E83" s="16">
        <f>SUM(C83-D83)</f>
        <v>1127.2099999999991</v>
      </c>
    </row>
    <row r="84" spans="1:5" ht="16.5" x14ac:dyDescent="0.3">
      <c r="A84" s="2"/>
      <c r="B84" s="19" t="s">
        <v>71</v>
      </c>
      <c r="C84" s="33">
        <v>119803.66</v>
      </c>
      <c r="D84" s="37">
        <f>53801.26</f>
        <v>53801.26</v>
      </c>
      <c r="E84" s="33">
        <f>C84-D84</f>
        <v>66002.399999999994</v>
      </c>
    </row>
    <row r="85" spans="1:5" ht="15.75" x14ac:dyDescent="0.25">
      <c r="A85" s="2"/>
      <c r="B85" s="21"/>
      <c r="C85" s="21"/>
      <c r="D85" s="26"/>
      <c r="E85" s="27"/>
    </row>
    <row r="86" spans="1:5" ht="16.5" x14ac:dyDescent="0.3">
      <c r="A86" s="2"/>
      <c r="B86" s="19" t="s">
        <v>72</v>
      </c>
      <c r="C86" s="33">
        <f>SUM(C82:C84)</f>
        <v>141905</v>
      </c>
      <c r="D86" s="33">
        <f>SUM(D82:D84)</f>
        <v>65195.69</v>
      </c>
      <c r="E86" s="33">
        <f>C86-D86</f>
        <v>76709.31</v>
      </c>
    </row>
    <row r="87" spans="1:5" ht="16.5" x14ac:dyDescent="0.3">
      <c r="A87" s="2"/>
      <c r="B87" s="21"/>
      <c r="C87" s="19"/>
      <c r="D87" s="32"/>
      <c r="E87" s="27"/>
    </row>
    <row r="88" spans="1:5" ht="17.25" thickBot="1" x14ac:dyDescent="0.35">
      <c r="A88" s="2"/>
      <c r="B88" s="19" t="s">
        <v>73</v>
      </c>
      <c r="C88" s="38">
        <f>+C23-C80-C86</f>
        <v>42671.39999999851</v>
      </c>
      <c r="D88" s="38">
        <f>+D23-D80-D86</f>
        <v>3741172.2499999995</v>
      </c>
      <c r="E88" s="38">
        <f>+E23-E80-E86</f>
        <v>-3526451.3499999996</v>
      </c>
    </row>
    <row r="89" spans="1:5" ht="17.25" thickTop="1" x14ac:dyDescent="0.3">
      <c r="A89" s="2"/>
      <c r="B89" s="19"/>
      <c r="C89" s="39"/>
      <c r="D89" s="14"/>
      <c r="E89" s="16"/>
    </row>
    <row r="90" spans="1:5" ht="16.5" x14ac:dyDescent="0.3">
      <c r="A90" s="7"/>
      <c r="B90" s="19"/>
      <c r="C90" s="40"/>
      <c r="D90" s="40"/>
      <c r="E90" s="40"/>
    </row>
  </sheetData>
  <mergeCells count="5">
    <mergeCell ref="A2:C2"/>
    <mergeCell ref="A3:C3"/>
    <mergeCell ref="A5:C5"/>
    <mergeCell ref="A6:C6"/>
    <mergeCell ref="A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21" sqref="I21"/>
    </sheetView>
  </sheetViews>
  <sheetFormatPr baseColWidth="10" defaultRowHeight="15" x14ac:dyDescent="0.25"/>
  <cols>
    <col min="4" max="4" width="16" customWidth="1"/>
    <col min="5" max="5" width="20.28515625" customWidth="1"/>
    <col min="6" max="6" width="19.140625" customWidth="1"/>
  </cols>
  <sheetData>
    <row r="1" spans="1:6" ht="16.5" x14ac:dyDescent="0.3">
      <c r="A1" s="41" t="s">
        <v>74</v>
      </c>
      <c r="B1" s="41"/>
      <c r="C1" s="41"/>
      <c r="D1" s="41"/>
      <c r="E1" s="41"/>
      <c r="F1" s="2"/>
    </row>
    <row r="2" spans="1:6" ht="16.5" x14ac:dyDescent="0.3">
      <c r="A2" s="41" t="s">
        <v>1</v>
      </c>
      <c r="B2" s="41"/>
      <c r="C2" s="41"/>
      <c r="D2" s="41"/>
      <c r="E2" s="41"/>
      <c r="F2" s="2"/>
    </row>
    <row r="3" spans="1:6" ht="16.5" x14ac:dyDescent="0.3">
      <c r="A3" s="42"/>
      <c r="B3" s="42"/>
      <c r="C3" s="42"/>
      <c r="D3" s="42"/>
      <c r="E3" s="42"/>
      <c r="F3" s="2"/>
    </row>
    <row r="4" spans="1:6" ht="18.75" x14ac:dyDescent="0.3">
      <c r="A4" s="43" t="s">
        <v>75</v>
      </c>
      <c r="B4" s="43"/>
      <c r="C4" s="43"/>
      <c r="D4" s="43"/>
      <c r="E4" s="43"/>
      <c r="F4" s="2"/>
    </row>
    <row r="5" spans="1:6" ht="16.5" x14ac:dyDescent="0.3">
      <c r="A5" s="5"/>
      <c r="B5" s="5"/>
      <c r="C5" s="5"/>
      <c r="D5" s="5"/>
      <c r="E5" s="5"/>
      <c r="F5" s="6"/>
    </row>
    <row r="6" spans="1:6" ht="15.75" x14ac:dyDescent="0.25">
      <c r="A6" s="44"/>
      <c r="B6" s="44"/>
      <c r="C6" s="44"/>
      <c r="D6" s="44"/>
      <c r="E6" s="44"/>
      <c r="F6" s="2"/>
    </row>
    <row r="7" spans="1:6" ht="16.5" x14ac:dyDescent="0.3">
      <c r="A7" s="44"/>
      <c r="B7" s="44"/>
      <c r="C7" s="44"/>
      <c r="D7" s="45" t="s">
        <v>76</v>
      </c>
      <c r="E7" s="45" t="s">
        <v>77</v>
      </c>
      <c r="F7" s="10" t="s">
        <v>78</v>
      </c>
    </row>
    <row r="8" spans="1:6" ht="16.5" x14ac:dyDescent="0.3">
      <c r="A8" s="46" t="s">
        <v>79</v>
      </c>
      <c r="B8" s="46"/>
      <c r="C8" s="12"/>
      <c r="D8" s="12"/>
      <c r="E8" s="12"/>
      <c r="F8" s="2"/>
    </row>
    <row r="9" spans="1:6" ht="16.5" x14ac:dyDescent="0.3">
      <c r="A9" s="12"/>
      <c r="B9" s="46"/>
      <c r="C9" s="12"/>
      <c r="D9" s="12"/>
      <c r="E9" s="32"/>
      <c r="F9" s="2"/>
    </row>
    <row r="10" spans="1:6" ht="16.5" x14ac:dyDescent="0.3">
      <c r="A10" s="47" t="s">
        <v>80</v>
      </c>
      <c r="B10" s="46"/>
      <c r="C10" s="12"/>
      <c r="D10" s="12"/>
      <c r="E10" s="32"/>
      <c r="F10" s="2"/>
    </row>
    <row r="11" spans="1:6" ht="15.75" x14ac:dyDescent="0.25">
      <c r="A11" s="12"/>
      <c r="B11" s="12"/>
      <c r="C11" s="32"/>
      <c r="D11" s="32"/>
      <c r="E11" s="32"/>
      <c r="F11" s="2"/>
    </row>
    <row r="12" spans="1:6" ht="15.75" x14ac:dyDescent="0.25">
      <c r="A12" s="12" t="s">
        <v>81</v>
      </c>
      <c r="B12" s="12"/>
      <c r="C12" s="32"/>
      <c r="D12" s="32">
        <f>+[1]DETALLE!D9+[1]DETALLE!D10+[1]DETALLE!D11+[1]DETALLE!D12</f>
        <v>628276.92000000004</v>
      </c>
      <c r="E12" s="32">
        <f>147812.72+281045.11</f>
        <v>428857.82999999996</v>
      </c>
      <c r="F12" s="16">
        <f>D12-E12</f>
        <v>199419.09000000008</v>
      </c>
    </row>
    <row r="13" spans="1:6" ht="15.75" x14ac:dyDescent="0.25">
      <c r="A13" s="48" t="s">
        <v>82</v>
      </c>
      <c r="B13" s="12"/>
      <c r="C13" s="32"/>
      <c r="D13" s="32">
        <f>+[1]BG!D14</f>
        <v>933983.83</v>
      </c>
      <c r="E13" s="32">
        <f>1700000+3076900</f>
        <v>4776900</v>
      </c>
      <c r="F13" s="16">
        <f>D13-E13</f>
        <v>-3842916.17</v>
      </c>
    </row>
    <row r="14" spans="1:6" ht="15.75" x14ac:dyDescent="0.25">
      <c r="A14" s="48" t="s">
        <v>83</v>
      </c>
      <c r="B14" s="12"/>
      <c r="C14" s="32"/>
      <c r="D14" s="49">
        <v>5026227.5999999996</v>
      </c>
      <c r="E14" s="49">
        <f>3272763.88+31564.57+366585</f>
        <v>3670913.4499999997</v>
      </c>
      <c r="F14" s="49">
        <f>D14-E14</f>
        <v>1355314.15</v>
      </c>
    </row>
    <row r="15" spans="1:6" ht="15.75" x14ac:dyDescent="0.25">
      <c r="A15" s="12"/>
      <c r="B15" s="12"/>
      <c r="C15" s="12"/>
      <c r="D15" s="12"/>
      <c r="E15" s="32"/>
      <c r="F15" s="2"/>
    </row>
    <row r="16" spans="1:6" ht="16.5" x14ac:dyDescent="0.3">
      <c r="A16" s="47" t="s">
        <v>84</v>
      </c>
      <c r="B16" s="46"/>
      <c r="C16" s="36"/>
      <c r="D16" s="33">
        <f>SUM(D12:D15)</f>
        <v>6588488.3499999996</v>
      </c>
      <c r="E16" s="33">
        <f>SUM(E12:E14)</f>
        <v>8876671.2799999993</v>
      </c>
      <c r="F16" s="50">
        <f>SUM(F12:F14)</f>
        <v>-2288182.9300000002</v>
      </c>
    </row>
    <row r="17" spans="1:6" ht="15.75" x14ac:dyDescent="0.25">
      <c r="A17" s="12"/>
      <c r="B17" s="12"/>
      <c r="C17" s="12"/>
      <c r="D17" s="12"/>
      <c r="E17" s="32"/>
      <c r="F17" s="2"/>
    </row>
    <row r="18" spans="1:6" ht="16.5" x14ac:dyDescent="0.3">
      <c r="A18" s="46" t="s">
        <v>85</v>
      </c>
      <c r="B18" s="46"/>
      <c r="C18" s="12"/>
      <c r="D18" s="12"/>
      <c r="E18" s="32"/>
      <c r="F18" s="2"/>
    </row>
    <row r="19" spans="1:6" ht="16.5" x14ac:dyDescent="0.3">
      <c r="A19" s="12"/>
      <c r="B19" s="46"/>
      <c r="C19" s="12"/>
      <c r="D19" s="12"/>
      <c r="E19" s="32"/>
      <c r="F19" s="2"/>
    </row>
    <row r="20" spans="1:6" ht="16.5" x14ac:dyDescent="0.3">
      <c r="A20" s="48" t="s">
        <v>86</v>
      </c>
      <c r="B20" s="46"/>
      <c r="C20" s="36"/>
      <c r="D20" s="14">
        <f>+[1]DETALLE!D41-1483856.16</f>
        <v>5075504.24</v>
      </c>
      <c r="E20" s="14">
        <f>6559360.4+37500-2559150.56</f>
        <v>4037709.8400000003</v>
      </c>
      <c r="F20" s="16">
        <f>D20-E20</f>
        <v>1037794.3999999999</v>
      </c>
    </row>
    <row r="21" spans="1:6" ht="16.5" x14ac:dyDescent="0.3">
      <c r="A21" s="12" t="s">
        <v>87</v>
      </c>
      <c r="B21" s="46"/>
      <c r="C21" s="12"/>
      <c r="D21" s="49">
        <f>+[1]BG!D24</f>
        <v>584319.62</v>
      </c>
      <c r="E21" s="49">
        <v>1207353.23</v>
      </c>
      <c r="F21" s="51">
        <f>D21-E21</f>
        <v>-623033.61</v>
      </c>
    </row>
    <row r="22" spans="1:6" ht="15.75" x14ac:dyDescent="0.25">
      <c r="A22" s="12"/>
      <c r="B22" s="12"/>
      <c r="C22" s="32"/>
      <c r="D22" s="32"/>
      <c r="E22" s="32"/>
      <c r="F22" s="2"/>
    </row>
    <row r="23" spans="1:6" ht="16.5" x14ac:dyDescent="0.3">
      <c r="A23" s="47" t="s">
        <v>88</v>
      </c>
      <c r="B23" s="12"/>
      <c r="C23" s="32"/>
      <c r="D23" s="33">
        <f>SUM(D20:D22)</f>
        <v>5659823.8600000003</v>
      </c>
      <c r="E23" s="33">
        <f>SUM(E20:E22)</f>
        <v>5245063.07</v>
      </c>
      <c r="F23" s="50">
        <f>SUM(F20:F22)</f>
        <v>414760.78999999992</v>
      </c>
    </row>
    <row r="24" spans="1:6" ht="16.5" x14ac:dyDescent="0.3">
      <c r="A24" s="47"/>
      <c r="B24" s="12"/>
      <c r="C24" s="32"/>
      <c r="D24" s="32"/>
      <c r="E24" s="32"/>
      <c r="F24" s="16"/>
    </row>
    <row r="25" spans="1:6" ht="17.25" thickBot="1" x14ac:dyDescent="0.35">
      <c r="A25" s="47" t="s">
        <v>89</v>
      </c>
      <c r="B25" s="12"/>
      <c r="C25" s="32"/>
      <c r="D25" s="52">
        <f>+D16+D23</f>
        <v>12248312.210000001</v>
      </c>
      <c r="E25" s="52">
        <f>E16+E23</f>
        <v>14121734.35</v>
      </c>
      <c r="F25" s="53">
        <f>F16+F23</f>
        <v>-1873422.1400000001</v>
      </c>
    </row>
    <row r="26" spans="1:6" ht="16.5" thickTop="1" x14ac:dyDescent="0.25">
      <c r="A26" s="12"/>
      <c r="B26" s="12"/>
      <c r="C26" s="32"/>
      <c r="D26" s="32"/>
      <c r="E26" s="32"/>
      <c r="F26" s="54"/>
    </row>
    <row r="27" spans="1:6" ht="16.5" x14ac:dyDescent="0.3">
      <c r="A27" s="47" t="s">
        <v>90</v>
      </c>
      <c r="B27" s="12"/>
      <c r="C27" s="32"/>
      <c r="D27" s="32"/>
      <c r="E27" s="32"/>
      <c r="F27" s="54"/>
    </row>
    <row r="28" spans="1:6" ht="15.75" x14ac:dyDescent="0.25">
      <c r="A28" s="48"/>
      <c r="B28" s="12"/>
      <c r="C28" s="32"/>
      <c r="D28" s="32"/>
      <c r="E28" s="32"/>
      <c r="F28" s="54"/>
    </row>
    <row r="29" spans="1:6" ht="16.5" x14ac:dyDescent="0.3">
      <c r="A29" s="47" t="s">
        <v>91</v>
      </c>
      <c r="B29" s="12"/>
      <c r="C29" s="32"/>
      <c r="D29" s="32"/>
      <c r="E29" s="32"/>
      <c r="F29" s="54"/>
    </row>
    <row r="30" spans="1:6" ht="15.75" x14ac:dyDescent="0.25">
      <c r="A30" s="48" t="s">
        <v>92</v>
      </c>
      <c r="B30" s="12"/>
      <c r="C30" s="32"/>
      <c r="D30" s="32">
        <v>0</v>
      </c>
      <c r="E30" s="32">
        <f>1742213.98</f>
        <v>1742213.98</v>
      </c>
      <c r="F30" s="14">
        <f>D30-E30</f>
        <v>-1742213.98</v>
      </c>
    </row>
    <row r="31" spans="1:6" ht="15.75" x14ac:dyDescent="0.25">
      <c r="A31" s="12" t="s">
        <v>93</v>
      </c>
      <c r="B31" s="12"/>
      <c r="C31" s="32"/>
      <c r="D31" s="49">
        <v>87624.94</v>
      </c>
      <c r="E31" s="49">
        <v>14018.46</v>
      </c>
      <c r="F31" s="55">
        <f>D31-E31</f>
        <v>73606.48000000001</v>
      </c>
    </row>
    <row r="32" spans="1:6" ht="16.5" x14ac:dyDescent="0.3">
      <c r="A32" s="48"/>
      <c r="B32" s="46"/>
      <c r="C32" s="36"/>
      <c r="D32" s="36"/>
      <c r="E32" s="32"/>
      <c r="F32" s="54"/>
    </row>
    <row r="33" spans="1:6" ht="16.5" x14ac:dyDescent="0.3">
      <c r="A33" s="46" t="s">
        <v>94</v>
      </c>
      <c r="B33" s="46"/>
      <c r="C33" s="12"/>
      <c r="D33" s="33">
        <f>SUM(D30:D32)</f>
        <v>87624.94</v>
      </c>
      <c r="E33" s="33">
        <f>SUM(E30:E32)</f>
        <v>1756232.44</v>
      </c>
      <c r="F33" s="56">
        <f>SUM(F30:F31)</f>
        <v>-1668607.5</v>
      </c>
    </row>
    <row r="34" spans="1:6" ht="15.75" x14ac:dyDescent="0.25">
      <c r="A34" s="12"/>
      <c r="B34" s="12"/>
      <c r="C34" s="32"/>
      <c r="D34" s="32"/>
      <c r="E34" s="32"/>
      <c r="F34" s="2"/>
    </row>
    <row r="35" spans="1:6" ht="16.5" x14ac:dyDescent="0.3">
      <c r="A35" s="47" t="s">
        <v>95</v>
      </c>
      <c r="B35" s="12"/>
      <c r="C35" s="32"/>
      <c r="D35" s="32"/>
      <c r="E35" s="32"/>
      <c r="F35" s="2"/>
    </row>
    <row r="36" spans="1:6" ht="16.5" x14ac:dyDescent="0.3">
      <c r="A36" s="47"/>
      <c r="B36" s="12"/>
      <c r="C36" s="32"/>
      <c r="D36" s="32"/>
      <c r="E36" s="32"/>
      <c r="F36" s="2"/>
    </row>
    <row r="37" spans="1:6" ht="15.75" x14ac:dyDescent="0.25">
      <c r="A37" s="12" t="s">
        <v>96</v>
      </c>
      <c r="B37" s="12"/>
      <c r="C37" s="32"/>
      <c r="D37" s="32">
        <f>+[1]BG!D40</f>
        <v>12118015.870000001</v>
      </c>
      <c r="E37" s="32">
        <v>8624302.4000000004</v>
      </c>
      <c r="F37" s="14">
        <f>D37-E37</f>
        <v>3493713.4700000007</v>
      </c>
    </row>
    <row r="38" spans="1:6" ht="15.75" x14ac:dyDescent="0.25">
      <c r="A38" s="12" t="s">
        <v>97</v>
      </c>
      <c r="B38" s="12"/>
      <c r="C38" s="32"/>
      <c r="D38" s="51">
        <v>42671.4</v>
      </c>
      <c r="E38" s="51">
        <v>3741199.51</v>
      </c>
      <c r="F38" s="51">
        <f>D38-E38</f>
        <v>-3698528.11</v>
      </c>
    </row>
    <row r="39" spans="1:6" ht="16.5" x14ac:dyDescent="0.3">
      <c r="A39" s="46"/>
      <c r="B39" s="12"/>
      <c r="C39" s="32"/>
      <c r="D39" s="32"/>
      <c r="E39" s="32"/>
      <c r="F39" s="2"/>
    </row>
    <row r="40" spans="1:6" ht="16.5" x14ac:dyDescent="0.3">
      <c r="A40" s="47" t="s">
        <v>98</v>
      </c>
      <c r="B40" s="12"/>
      <c r="C40" s="32"/>
      <c r="D40" s="33">
        <f>+D37+D38</f>
        <v>12160687.270000001</v>
      </c>
      <c r="E40" s="33">
        <f>SUM(E37:E39)</f>
        <v>12365501.91</v>
      </c>
      <c r="F40" s="50">
        <f>SUM(F37:F39)</f>
        <v>-204814.6399999992</v>
      </c>
    </row>
    <row r="41" spans="1:6" ht="15.75" x14ac:dyDescent="0.25">
      <c r="A41" s="12"/>
      <c r="B41" s="12"/>
      <c r="C41" s="32"/>
      <c r="D41" s="32"/>
      <c r="E41" s="32"/>
      <c r="F41" s="2"/>
    </row>
    <row r="42" spans="1:6" ht="17.25" thickBot="1" x14ac:dyDescent="0.35">
      <c r="A42" s="47" t="s">
        <v>99</v>
      </c>
      <c r="B42" s="12"/>
      <c r="C42" s="32"/>
      <c r="D42" s="52">
        <f>+D33+D40</f>
        <v>12248312.210000001</v>
      </c>
      <c r="E42" s="52">
        <f>E33+E40</f>
        <v>14121734.35</v>
      </c>
      <c r="F42" s="57">
        <f>F33+F40</f>
        <v>-1873422.1399999992</v>
      </c>
    </row>
    <row r="43" spans="1:6" ht="16.5" thickTop="1" x14ac:dyDescent="0.25">
      <c r="A43" s="58"/>
      <c r="B43" s="58"/>
      <c r="C43" s="58"/>
      <c r="D43" s="58"/>
      <c r="E43" s="58"/>
      <c r="F43" s="2"/>
    </row>
    <row r="44" spans="1:6" ht="15.75" x14ac:dyDescent="0.25">
      <c r="A44" s="58"/>
      <c r="B44" s="58"/>
      <c r="C44" s="58"/>
      <c r="D44" s="58"/>
      <c r="E44" s="58"/>
      <c r="F44" s="2"/>
    </row>
    <row r="45" spans="1:6" ht="15.75" x14ac:dyDescent="0.25">
      <c r="A45" s="58"/>
      <c r="B45" s="58"/>
      <c r="C45" s="58"/>
      <c r="D45" s="58"/>
      <c r="E45" s="58"/>
      <c r="F45" s="2"/>
    </row>
    <row r="46" spans="1:6" ht="15.75" x14ac:dyDescent="0.25">
      <c r="A46" s="58"/>
      <c r="B46" s="58"/>
      <c r="C46" s="58"/>
      <c r="D46" s="58"/>
      <c r="E46" s="58"/>
      <c r="F46" s="2"/>
    </row>
    <row r="47" spans="1:6" ht="15.75" x14ac:dyDescent="0.25">
      <c r="A47" s="58"/>
      <c r="B47" s="58"/>
      <c r="C47" s="58"/>
      <c r="D47" s="58"/>
      <c r="E47" s="58"/>
      <c r="F47" s="2"/>
    </row>
    <row r="48" spans="1:6" ht="15.75" x14ac:dyDescent="0.25">
      <c r="A48" s="58"/>
      <c r="B48" s="58"/>
      <c r="C48" s="58"/>
      <c r="D48" s="58"/>
      <c r="E48" s="58"/>
      <c r="F48" s="2"/>
    </row>
  </sheetData>
  <mergeCells count="4">
    <mergeCell ref="A1:E1"/>
    <mergeCell ref="A2:E2"/>
    <mergeCell ref="A4:E4"/>
    <mergeCell ref="A5:E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 COMPARATIVO</vt:lpstr>
      <vt:lpstr>BG 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</dc:creator>
  <cp:lastModifiedBy>Coordinadora</cp:lastModifiedBy>
  <cp:lastPrinted>2018-02-07T14:27:01Z</cp:lastPrinted>
  <dcterms:created xsi:type="dcterms:W3CDTF">2018-02-07T14:10:44Z</dcterms:created>
  <dcterms:modified xsi:type="dcterms:W3CDTF">2018-02-07T14:28:48Z</dcterms:modified>
</cp:coreProperties>
</file>